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7010\Documents\"/>
    </mc:Choice>
  </mc:AlternateContent>
  <xr:revisionPtr revIDLastSave="0" documentId="13_ncr:1_{60D7BD39-6B84-47A1-91B0-13177CD2DB7C}" xr6:coauthVersionLast="36" xr6:coauthVersionMax="36" xr10:uidLastSave="{00000000-0000-0000-0000-000000000000}"/>
  <bookViews>
    <workbookView xWindow="0" yWindow="0" windowWidth="12180" windowHeight="4470" firstSheet="2" activeTab="6" xr2:uid="{423CF94C-CF32-4DD8-95CD-6D56E9CD52BE}"/>
  </bookViews>
  <sheets>
    <sheet name="Initial investment" sheetId="1" r:id="rId1"/>
    <sheet name="operating cash flows" sheetId="3" r:id="rId2"/>
    <sheet name="Incremental cash flow" sheetId="2" r:id="rId3"/>
    <sheet name="terminal cash flows" sheetId="4" r:id="rId4"/>
    <sheet name="free cash flows " sheetId="5" r:id="rId5"/>
    <sheet name="NPV" sheetId="6" r:id="rId6"/>
    <sheet name="irr" sheetId="7" r:id="rId7"/>
    <sheet name="payback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D23" i="3"/>
  <c r="E23" i="3"/>
  <c r="F23" i="3"/>
  <c r="E14" i="3"/>
  <c r="F14" i="3"/>
  <c r="D13" i="3"/>
  <c r="D5" i="3"/>
  <c r="E5" i="3"/>
  <c r="F5" i="3"/>
  <c r="E12" i="8" l="1"/>
  <c r="C12" i="8"/>
  <c r="E10" i="8"/>
  <c r="C10" i="8"/>
  <c r="E8" i="8"/>
  <c r="E7" i="8"/>
  <c r="E6" i="8"/>
  <c r="E5" i="8"/>
  <c r="E4" i="8"/>
  <c r="C8" i="8"/>
  <c r="C7" i="8"/>
  <c r="C6" i="8"/>
  <c r="C5" i="8"/>
  <c r="C4" i="8"/>
  <c r="F17" i="7"/>
  <c r="F23" i="7"/>
  <c r="D23" i="7"/>
  <c r="F21" i="7"/>
  <c r="D21" i="7"/>
  <c r="F20" i="7"/>
  <c r="D20" i="7"/>
  <c r="F19" i="7"/>
  <c r="D19" i="7"/>
  <c r="F18" i="7"/>
  <c r="D18" i="7"/>
  <c r="D17" i="7"/>
  <c r="F11" i="7"/>
  <c r="D11" i="7"/>
  <c r="F9" i="7"/>
  <c r="D9" i="7"/>
  <c r="F8" i="7"/>
  <c r="D8" i="7"/>
  <c r="F7" i="7"/>
  <c r="D7" i="7"/>
  <c r="F6" i="7"/>
  <c r="D6" i="7"/>
  <c r="D10" i="7" s="1"/>
  <c r="F5" i="7"/>
  <c r="F10" i="7" s="1"/>
  <c r="F12" i="7" s="1"/>
  <c r="D5" i="7"/>
  <c r="F11" i="6"/>
  <c r="D11" i="6"/>
  <c r="F10" i="6"/>
  <c r="D10" i="6"/>
  <c r="F5" i="6"/>
  <c r="F6" i="6"/>
  <c r="F7" i="6"/>
  <c r="F9" i="6" s="1"/>
  <c r="F8" i="6"/>
  <c r="F4" i="6"/>
  <c r="D5" i="6"/>
  <c r="D6" i="6"/>
  <c r="D7" i="6"/>
  <c r="D9" i="6" s="1"/>
  <c r="D8" i="6"/>
  <c r="D4" i="6"/>
  <c r="G8" i="5"/>
  <c r="G4" i="5"/>
  <c r="F21" i="3"/>
  <c r="E21" i="3"/>
  <c r="D21" i="3"/>
  <c r="C21" i="3"/>
  <c r="B21" i="3"/>
  <c r="F12" i="3"/>
  <c r="E12" i="3"/>
  <c r="D12" i="3"/>
  <c r="C12" i="3"/>
  <c r="B12" i="3"/>
  <c r="F3" i="3"/>
  <c r="E3" i="3"/>
  <c r="D3" i="3"/>
  <c r="C3" i="3"/>
  <c r="B3" i="3"/>
  <c r="B15" i="1"/>
  <c r="B22" i="4"/>
  <c r="C20" i="4"/>
  <c r="B18" i="4"/>
  <c r="C16" i="4" s="1"/>
  <c r="C26" i="4" s="1"/>
  <c r="C12" i="4"/>
  <c r="C10" i="4"/>
  <c r="C2" i="4"/>
  <c r="B4" i="4"/>
  <c r="C6" i="4"/>
  <c r="B8" i="4"/>
  <c r="D22" i="7" l="1"/>
  <c r="D24" i="7" s="1"/>
  <c r="F22" i="7"/>
  <c r="F24" i="7" s="1"/>
  <c r="D12" i="7"/>
  <c r="B25" i="3"/>
  <c r="E22" i="3"/>
  <c r="E24" i="3" s="1"/>
  <c r="E26" i="3" s="1"/>
  <c r="F22" i="3"/>
  <c r="F24" i="3" s="1"/>
  <c r="E25" i="3"/>
  <c r="D22" i="3"/>
  <c r="C22" i="3"/>
  <c r="B22" i="3"/>
  <c r="B23" i="3" s="1"/>
  <c r="D14" i="3"/>
  <c r="D15" i="3" s="1"/>
  <c r="F13" i="3"/>
  <c r="F15" i="3" s="1"/>
  <c r="E13" i="3"/>
  <c r="E15" i="3" s="1"/>
  <c r="D16" i="3"/>
  <c r="C16" i="3"/>
  <c r="B16" i="3"/>
  <c r="E2" i="1"/>
  <c r="C10" i="1"/>
  <c r="B17" i="1"/>
  <c r="B19" i="1" s="1"/>
  <c r="B21" i="1" s="1"/>
  <c r="F4" i="3"/>
  <c r="F6" i="3" s="1"/>
  <c r="E4" i="3"/>
  <c r="E6" i="3" s="1"/>
  <c r="D4" i="3"/>
  <c r="C4" i="3"/>
  <c r="B4" i="3"/>
  <c r="E34" i="3" l="1"/>
  <c r="E11" i="2"/>
  <c r="D8" i="1"/>
  <c r="E6" i="1" s="1"/>
  <c r="B8" i="1"/>
  <c r="C6" i="1" s="1"/>
  <c r="C12" i="1" s="1"/>
  <c r="E12" i="1"/>
  <c r="D24" i="3"/>
  <c r="F25" i="3"/>
  <c r="F26" i="3" s="1"/>
  <c r="C25" i="3"/>
  <c r="C24" i="3"/>
  <c r="B24" i="3"/>
  <c r="B26" i="3" s="1"/>
  <c r="D25" i="3"/>
  <c r="C13" i="3"/>
  <c r="C14" i="3" s="1"/>
  <c r="C15" i="3" s="1"/>
  <c r="C17" i="3" s="1"/>
  <c r="B5" i="3"/>
  <c r="B6" i="3" s="1"/>
  <c r="F7" i="3"/>
  <c r="F8" i="3" s="1"/>
  <c r="D6" i="3"/>
  <c r="C5" i="3"/>
  <c r="C6" i="3" s="1"/>
  <c r="E7" i="3"/>
  <c r="E8" i="3" s="1"/>
  <c r="B13" i="3"/>
  <c r="F16" i="3"/>
  <c r="F17" i="3" s="1"/>
  <c r="D17" i="3"/>
  <c r="E16" i="3"/>
  <c r="E17" i="3" s="1"/>
  <c r="D26" i="3" l="1"/>
  <c r="D34" i="3" s="1"/>
  <c r="F34" i="3"/>
  <c r="F11" i="2"/>
  <c r="C26" i="3"/>
  <c r="B34" i="3"/>
  <c r="B11" i="2"/>
  <c r="D32" i="3"/>
  <c r="D4" i="2"/>
  <c r="E32" i="3"/>
  <c r="E4" i="2"/>
  <c r="C32" i="3"/>
  <c r="C4" i="2"/>
  <c r="F32" i="3"/>
  <c r="F4" i="2"/>
  <c r="E30" i="3"/>
  <c r="E5" i="2"/>
  <c r="E12" i="2"/>
  <c r="E13" i="2" s="1"/>
  <c r="E8" i="5" s="1"/>
  <c r="F30" i="3"/>
  <c r="F5" i="2"/>
  <c r="F12" i="2"/>
  <c r="D7" i="3"/>
  <c r="D8" i="3" s="1"/>
  <c r="C7" i="3"/>
  <c r="C8" i="3" s="1"/>
  <c r="B7" i="3"/>
  <c r="B8" i="3" s="1"/>
  <c r="B14" i="3"/>
  <c r="B15" i="3" s="1"/>
  <c r="B17" i="3" s="1"/>
  <c r="D11" i="2" l="1"/>
  <c r="F13" i="2"/>
  <c r="F8" i="5" s="1"/>
  <c r="C34" i="3"/>
  <c r="C11" i="2"/>
  <c r="F6" i="2"/>
  <c r="F4" i="5" s="1"/>
  <c r="E6" i="2"/>
  <c r="E4" i="5" s="1"/>
  <c r="B32" i="3"/>
  <c r="B4" i="2"/>
  <c r="D30" i="3"/>
  <c r="D5" i="2"/>
  <c r="D6" i="2" s="1"/>
  <c r="D4" i="5" s="1"/>
  <c r="D12" i="2"/>
  <c r="C30" i="3"/>
  <c r="C5" i="2"/>
  <c r="C6" i="2" s="1"/>
  <c r="C4" i="5" s="1"/>
  <c r="C12" i="2"/>
  <c r="B30" i="3"/>
  <c r="B12" i="2"/>
  <c r="B13" i="2" s="1"/>
  <c r="B8" i="5" s="1"/>
  <c r="B5" i="2"/>
  <c r="B6" i="2" l="1"/>
  <c r="B4" i="5" s="1"/>
  <c r="D13" i="2"/>
  <c r="D8" i="5" s="1"/>
  <c r="C13" i="2"/>
  <c r="C8" i="5" s="1"/>
</calcChain>
</file>

<file path=xl/sharedStrings.xml><?xml version="1.0" encoding="utf-8"?>
<sst xmlns="http://schemas.openxmlformats.org/spreadsheetml/2006/main" count="170" uniqueCount="84">
  <si>
    <t xml:space="preserve">  Asset A  </t>
  </si>
  <si>
    <t xml:space="preserve"> Asset B </t>
  </si>
  <si>
    <t xml:space="preserve">Installed cost of the machine </t>
  </si>
  <si>
    <t xml:space="preserve">Cost of new  </t>
  </si>
  <si>
    <t xml:space="preserve">Installation costs </t>
  </si>
  <si>
    <t xml:space="preserve">less After-tax proceeds from sale of old  </t>
  </si>
  <si>
    <t xml:space="preserve">proceeds from (old) </t>
  </si>
  <si>
    <t xml:space="preserve">less tax on sale  </t>
  </si>
  <si>
    <t xml:space="preserve">Add/less change in networking capital  </t>
  </si>
  <si>
    <t xml:space="preserve">                -   </t>
  </si>
  <si>
    <t xml:space="preserve"> Initial investment </t>
  </si>
  <si>
    <t xml:space="preserve"> Current Asset </t>
  </si>
  <si>
    <t xml:space="preserve"> Depreciation of current Asset </t>
  </si>
  <si>
    <t>carrying value of current asset</t>
  </si>
  <si>
    <t xml:space="preserve">proceeds from sale </t>
  </si>
  <si>
    <t xml:space="preserve">tax on sale </t>
  </si>
  <si>
    <t xml:space="preserve">Year </t>
  </si>
  <si>
    <t>Current</t>
  </si>
  <si>
    <t>Press A</t>
  </si>
  <si>
    <t>Press B</t>
  </si>
  <si>
    <t>Assume 30% tax rate on both ordinary and capital gains</t>
  </si>
  <si>
    <t>cost of capital 12%</t>
  </si>
  <si>
    <t>year 1</t>
  </si>
  <si>
    <t>year 2</t>
  </si>
  <si>
    <t>year 3</t>
  </si>
  <si>
    <t>year 4</t>
  </si>
  <si>
    <t>year 5</t>
  </si>
  <si>
    <t>EBDIT</t>
  </si>
  <si>
    <t>less depreciation</t>
  </si>
  <si>
    <t>EBIT</t>
  </si>
  <si>
    <t>Less Taxes</t>
  </si>
  <si>
    <t>Net operating profit</t>
  </si>
  <si>
    <t xml:space="preserve">Add depreciation </t>
  </si>
  <si>
    <t>Operating cash flows</t>
  </si>
  <si>
    <t>Old Machine</t>
  </si>
  <si>
    <t xml:space="preserve">New Asset A </t>
  </si>
  <si>
    <t>New Asset B</t>
  </si>
  <si>
    <t xml:space="preserve">Summarized operating cash flows </t>
  </si>
  <si>
    <t xml:space="preserve">Current Machine </t>
  </si>
  <si>
    <t xml:space="preserve">Asset A </t>
  </si>
  <si>
    <t>Asset B</t>
  </si>
  <si>
    <t xml:space="preserve">Incremental  cash flows for asset A </t>
  </si>
  <si>
    <t xml:space="preserve">Asset A operating cash flow </t>
  </si>
  <si>
    <t>Year 5</t>
  </si>
  <si>
    <t xml:space="preserve">Incremental cash flows </t>
  </si>
  <si>
    <t>Incremental  cash flows for asset B</t>
  </si>
  <si>
    <t xml:space="preserve">Asset B operating cash flow </t>
  </si>
  <si>
    <t xml:space="preserve">current asset  </t>
  </si>
  <si>
    <t>Incremantal cash flows</t>
  </si>
  <si>
    <t>current Asset</t>
  </si>
  <si>
    <t>After tax proceeds from sale of new aset</t>
  </si>
  <si>
    <t>proceeds from new</t>
  </si>
  <si>
    <t>less after tax proceeds from sale of old asset</t>
  </si>
  <si>
    <t>proceeds (old)</t>
  </si>
  <si>
    <t xml:space="preserve">less tax on sale </t>
  </si>
  <si>
    <t>Add/change in working capital</t>
  </si>
  <si>
    <t>terminal cash flow</t>
  </si>
  <si>
    <t xml:space="preserve">asset A </t>
  </si>
  <si>
    <t xml:space="preserve">less taxes </t>
  </si>
  <si>
    <t>Initial Investment</t>
  </si>
  <si>
    <t xml:space="preserve">Asset B </t>
  </si>
  <si>
    <t xml:space="preserve">Initial Investment </t>
  </si>
  <si>
    <t xml:space="preserve">terminal cash flows </t>
  </si>
  <si>
    <t xml:space="preserve">Free cash flows </t>
  </si>
  <si>
    <t>Net present Value</t>
  </si>
  <si>
    <t xml:space="preserve">year </t>
  </si>
  <si>
    <t>discount factor</t>
  </si>
  <si>
    <t xml:space="preserve">at 12% </t>
  </si>
  <si>
    <t>cash flow</t>
  </si>
  <si>
    <t>PV</t>
  </si>
  <si>
    <t>Asset A</t>
  </si>
  <si>
    <t>less the initial investment</t>
  </si>
  <si>
    <t xml:space="preserve">Both Projects A and B have a positive NVP. We invest in Asset A since its NVP is higher compared to Asset B. </t>
  </si>
  <si>
    <t>INTERNAL RATE OF RETURN</t>
  </si>
  <si>
    <t>CHANGE RATE TO 15</t>
  </si>
  <si>
    <t xml:space="preserve">The Internal rate of return </t>
  </si>
  <si>
    <t>at 28.5</t>
  </si>
  <si>
    <t>CHANGE RATE TO 28.5</t>
  </si>
  <si>
    <t xml:space="preserve">cummulative cash flows </t>
  </si>
  <si>
    <t>initial investment</t>
  </si>
  <si>
    <t xml:space="preserve">payback </t>
  </si>
  <si>
    <t xml:space="preserve">payback period is 2.44 years </t>
  </si>
  <si>
    <t xml:space="preserve">2.47 years </t>
  </si>
  <si>
    <t xml:space="preserve">Invest in Asset A has shorter payback period of 2.44 years compared to B with 2.47 years.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</si>
</sst>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9" xfId="0" applyNumberFormat="1" applyBorder="1"/>
    <xf numFmtId="4" fontId="0" fillId="0" borderId="5" xfId="0" applyNumberFormat="1" applyBorder="1"/>
    <xf numFmtId="0" fontId="0" fillId="0" borderId="1" xfId="0" applyBorder="1"/>
    <xf numFmtId="4" fontId="0" fillId="0" borderId="10" xfId="0" applyNumberFormat="1" applyBorder="1"/>
    <xf numFmtId="0" fontId="0" fillId="0" borderId="10" xfId="0" applyBorder="1"/>
    <xf numFmtId="4" fontId="0" fillId="0" borderId="11" xfId="0" applyNumberFormat="1" applyBorder="1"/>
    <xf numFmtId="0" fontId="0" fillId="0" borderId="9" xfId="0" applyBorder="1"/>
    <xf numFmtId="43" fontId="0" fillId="0" borderId="0" xfId="1" applyFont="1"/>
    <xf numFmtId="43" fontId="0" fillId="0" borderId="5" xfId="1" applyFont="1" applyBorder="1"/>
    <xf numFmtId="43" fontId="0" fillId="0" borderId="0" xfId="1" applyFont="1" applyBorder="1"/>
    <xf numFmtId="43" fontId="0" fillId="0" borderId="6" xfId="1" applyFont="1" applyBorder="1"/>
    <xf numFmtId="43" fontId="0" fillId="0" borderId="12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  <xf numFmtId="43" fontId="0" fillId="0" borderId="17" xfId="1" applyFont="1" applyBorder="1"/>
    <xf numFmtId="43" fontId="0" fillId="0" borderId="19" xfId="1" applyFont="1" applyBorder="1"/>
    <xf numFmtId="43" fontId="0" fillId="0" borderId="18" xfId="1" applyFont="1" applyBorder="1"/>
    <xf numFmtId="43" fontId="0" fillId="0" borderId="20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0" xfId="0" applyNumberFormat="1" applyBorder="1"/>
    <xf numFmtId="43" fontId="0" fillId="0" borderId="6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0" fontId="3" fillId="0" borderId="7" xfId="0" applyFont="1" applyBorder="1"/>
    <xf numFmtId="43" fontId="3" fillId="0" borderId="8" xfId="0" applyNumberFormat="1" applyFont="1" applyBorder="1"/>
    <xf numFmtId="43" fontId="3" fillId="0" borderId="9" xfId="0" applyNumberFormat="1" applyFont="1" applyBorder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3" fillId="0" borderId="18" xfId="0" applyNumberFormat="1" applyFont="1" applyBorder="1"/>
    <xf numFmtId="43" fontId="3" fillId="0" borderId="20" xfId="0" applyNumberFormat="1" applyFont="1" applyBorder="1"/>
    <xf numFmtId="43" fontId="0" fillId="0" borderId="21" xfId="1" applyFont="1" applyBorder="1"/>
    <xf numFmtId="43" fontId="0" fillId="0" borderId="22" xfId="1" applyFont="1" applyBorder="1"/>
    <xf numFmtId="43" fontId="0" fillId="0" borderId="23" xfId="1" applyFont="1" applyBorder="1"/>
    <xf numFmtId="0" fontId="0" fillId="0" borderId="14" xfId="0" applyBorder="1"/>
    <xf numFmtId="0" fontId="0" fillId="0" borderId="0" xfId="0" applyFont="1"/>
    <xf numFmtId="43" fontId="0" fillId="0" borderId="18" xfId="0" applyNumberFormat="1" applyBorder="1"/>
    <xf numFmtId="43" fontId="0" fillId="0" borderId="0" xfId="0" applyNumberFormat="1" applyFill="1" applyBorder="1"/>
    <xf numFmtId="0" fontId="2" fillId="0" borderId="0" xfId="0" applyFont="1" applyBorder="1"/>
    <xf numFmtId="43" fontId="0" fillId="0" borderId="20" xfId="0" applyNumberFormat="1" applyBorder="1"/>
    <xf numFmtId="43" fontId="0" fillId="0" borderId="8" xfId="0" applyNumberFormat="1" applyFill="1" applyBorder="1"/>
    <xf numFmtId="4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FEDA-78A7-4D7E-99B8-C42835DBA6A4}">
  <dimension ref="A1:L31"/>
  <sheetViews>
    <sheetView workbookViewId="0">
      <selection activeCell="H14" sqref="H14"/>
    </sheetView>
  </sheetViews>
  <sheetFormatPr defaultRowHeight="15" x14ac:dyDescent="0.25"/>
  <cols>
    <col min="1" max="1" width="27.85546875" customWidth="1"/>
    <col min="2" max="2" width="14.5703125" customWidth="1"/>
    <col min="3" max="3" width="10.140625" bestFit="1" customWidth="1"/>
    <col min="4" max="4" width="11.5703125" bestFit="1" customWidth="1"/>
    <col min="5" max="5" width="10.140625" bestFit="1" customWidth="1"/>
  </cols>
  <sheetData>
    <row r="1" spans="1:12" x14ac:dyDescent="0.25">
      <c r="A1" s="2"/>
      <c r="B1" s="2" t="s">
        <v>0</v>
      </c>
      <c r="C1" s="4"/>
      <c r="D1" s="2" t="s">
        <v>1</v>
      </c>
      <c r="E1" s="4"/>
    </row>
    <row r="2" spans="1:12" x14ac:dyDescent="0.25">
      <c r="A2" s="5" t="s">
        <v>2</v>
      </c>
      <c r="B2" s="5"/>
      <c r="C2" s="7">
        <v>885000</v>
      </c>
      <c r="D2" s="5"/>
      <c r="E2" s="7">
        <f>D3+D4</f>
        <v>665000</v>
      </c>
    </row>
    <row r="3" spans="1:12" x14ac:dyDescent="0.25">
      <c r="A3" s="5" t="s">
        <v>3</v>
      </c>
      <c r="B3" s="12">
        <v>840000</v>
      </c>
      <c r="C3" s="8"/>
      <c r="D3" s="12">
        <v>650000</v>
      </c>
      <c r="E3" s="8"/>
    </row>
    <row r="4" spans="1:12" x14ac:dyDescent="0.25">
      <c r="A4" s="5" t="s">
        <v>4</v>
      </c>
      <c r="B4" s="12">
        <v>45000</v>
      </c>
      <c r="C4" s="8"/>
      <c r="D4" s="19">
        <v>15000</v>
      </c>
      <c r="E4" s="8"/>
    </row>
    <row r="5" spans="1:12" x14ac:dyDescent="0.25">
      <c r="A5" s="5"/>
      <c r="B5" s="5"/>
      <c r="C5" s="8"/>
      <c r="D5" s="5"/>
      <c r="E5" s="8"/>
    </row>
    <row r="6" spans="1:12" x14ac:dyDescent="0.25">
      <c r="A6" s="5" t="s">
        <v>5</v>
      </c>
      <c r="B6" s="5"/>
      <c r="C6" s="7">
        <f>B7-B8</f>
        <v>441000</v>
      </c>
      <c r="D6" s="5"/>
      <c r="E6" s="7">
        <f>D7-D8</f>
        <v>441000</v>
      </c>
    </row>
    <row r="7" spans="1:12" ht="15.75" x14ac:dyDescent="0.25">
      <c r="A7" s="5" t="s">
        <v>6</v>
      </c>
      <c r="B7" s="12">
        <v>480000</v>
      </c>
      <c r="C7" s="8"/>
      <c r="D7" s="12">
        <v>480000</v>
      </c>
      <c r="E7" s="8"/>
      <c r="L7" s="69"/>
    </row>
    <row r="8" spans="1:12" x14ac:dyDescent="0.25">
      <c r="A8" s="5" t="s">
        <v>7</v>
      </c>
      <c r="B8" s="12">
        <f>B21</f>
        <v>39000</v>
      </c>
      <c r="C8" s="8"/>
      <c r="D8" s="12">
        <f>B21</f>
        <v>39000</v>
      </c>
      <c r="E8" s="8"/>
    </row>
    <row r="9" spans="1:12" x14ac:dyDescent="0.25">
      <c r="A9" s="5"/>
      <c r="B9" s="5"/>
      <c r="C9" s="8"/>
      <c r="D9" s="5"/>
      <c r="E9" s="8"/>
    </row>
    <row r="10" spans="1:12" x14ac:dyDescent="0.25">
      <c r="A10" s="5" t="s">
        <v>8</v>
      </c>
      <c r="B10" s="5"/>
      <c r="C10" s="7">
        <f>30000+125000-40000-25000</f>
        <v>90000</v>
      </c>
      <c r="D10" s="5"/>
      <c r="E10" s="8" t="s">
        <v>9</v>
      </c>
    </row>
    <row r="11" spans="1:12" x14ac:dyDescent="0.25">
      <c r="A11" s="5"/>
      <c r="B11" s="5"/>
      <c r="C11" s="8"/>
      <c r="D11" s="5"/>
      <c r="E11" s="8"/>
    </row>
    <row r="12" spans="1:12" x14ac:dyDescent="0.25">
      <c r="A12" s="9" t="s">
        <v>10</v>
      </c>
      <c r="B12" s="9"/>
      <c r="C12" s="11">
        <f>C2+C10-C6</f>
        <v>534000</v>
      </c>
      <c r="D12" s="9"/>
      <c r="E12" s="11">
        <f>E2-E6</f>
        <v>224000</v>
      </c>
    </row>
    <row r="14" spans="1:12" x14ac:dyDescent="0.25">
      <c r="A14" s="2"/>
      <c r="B14" s="13" t="s">
        <v>11</v>
      </c>
    </row>
    <row r="15" spans="1:12" x14ac:dyDescent="0.25">
      <c r="A15" s="5" t="s">
        <v>12</v>
      </c>
      <c r="B15" s="14">
        <f>((500000)/10)*3</f>
        <v>150000</v>
      </c>
    </row>
    <row r="16" spans="1:12" x14ac:dyDescent="0.25">
      <c r="A16" s="5"/>
      <c r="B16" s="15"/>
    </row>
    <row r="17" spans="1:4" x14ac:dyDescent="0.25">
      <c r="A17" s="5" t="s">
        <v>13</v>
      </c>
      <c r="B17" s="14">
        <f>500000-B15</f>
        <v>350000</v>
      </c>
    </row>
    <row r="18" spans="1:4" x14ac:dyDescent="0.25">
      <c r="A18" s="5"/>
      <c r="B18" s="15"/>
    </row>
    <row r="19" spans="1:4" x14ac:dyDescent="0.25">
      <c r="A19" s="5" t="s">
        <v>14</v>
      </c>
      <c r="B19" s="14">
        <f>480000-B17</f>
        <v>130000</v>
      </c>
    </row>
    <row r="20" spans="1:4" x14ac:dyDescent="0.25">
      <c r="A20" s="5"/>
      <c r="B20" s="15"/>
    </row>
    <row r="21" spans="1:4" x14ac:dyDescent="0.25">
      <c r="A21" s="9" t="s">
        <v>15</v>
      </c>
      <c r="B21" s="16">
        <f>0.3*B19</f>
        <v>39000</v>
      </c>
    </row>
    <row r="24" spans="1:4" x14ac:dyDescent="0.25">
      <c r="A24" s="2" t="s">
        <v>16</v>
      </c>
      <c r="B24" s="3" t="s">
        <v>17</v>
      </c>
      <c r="C24" s="3" t="s">
        <v>18</v>
      </c>
      <c r="D24" s="4" t="s">
        <v>19</v>
      </c>
    </row>
    <row r="25" spans="1:4" x14ac:dyDescent="0.25">
      <c r="A25" s="5">
        <v>1</v>
      </c>
      <c r="B25" s="6">
        <v>125000</v>
      </c>
      <c r="C25" s="6">
        <v>255000</v>
      </c>
      <c r="D25" s="8">
        <v>215000</v>
      </c>
    </row>
    <row r="26" spans="1:4" x14ac:dyDescent="0.25">
      <c r="A26" s="5">
        <v>2</v>
      </c>
      <c r="B26" s="6">
        <v>125000</v>
      </c>
      <c r="C26" s="6">
        <v>275000</v>
      </c>
      <c r="D26" s="8">
        <v>215000</v>
      </c>
    </row>
    <row r="27" spans="1:4" x14ac:dyDescent="0.25">
      <c r="A27" s="5">
        <v>3</v>
      </c>
      <c r="B27" s="6">
        <v>125000</v>
      </c>
      <c r="C27" s="6">
        <v>285000</v>
      </c>
      <c r="D27" s="8">
        <v>215000</v>
      </c>
    </row>
    <row r="28" spans="1:4" x14ac:dyDescent="0.25">
      <c r="A28" s="5">
        <v>4</v>
      </c>
      <c r="B28" s="6">
        <v>125000</v>
      </c>
      <c r="C28" s="6">
        <v>340000</v>
      </c>
      <c r="D28" s="8">
        <v>215000</v>
      </c>
    </row>
    <row r="29" spans="1:4" x14ac:dyDescent="0.25">
      <c r="A29" s="9">
        <v>5</v>
      </c>
      <c r="B29" s="10">
        <v>125000</v>
      </c>
      <c r="C29" s="10">
        <v>280000</v>
      </c>
      <c r="D29" s="17">
        <v>215000</v>
      </c>
    </row>
    <row r="30" spans="1:4" x14ac:dyDescent="0.25">
      <c r="A30" t="s">
        <v>20</v>
      </c>
    </row>
    <row r="31" spans="1:4" x14ac:dyDescent="0.25">
      <c r="A31" t="s">
        <v>21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42C6-46E9-4BF1-BB46-94216911EEA7}">
  <dimension ref="A1:F34"/>
  <sheetViews>
    <sheetView topLeftCell="A25" workbookViewId="0">
      <selection activeCell="I27" sqref="I27"/>
    </sheetView>
  </sheetViews>
  <sheetFormatPr defaultRowHeight="15" x14ac:dyDescent="0.25"/>
  <cols>
    <col min="1" max="1" width="19.7109375" bestFit="1" customWidth="1"/>
    <col min="2" max="5" width="11.5703125" bestFit="1" customWidth="1"/>
    <col min="6" max="6" width="15.28515625" customWidth="1"/>
  </cols>
  <sheetData>
    <row r="1" spans="1:6" x14ac:dyDescent="0.25">
      <c r="A1" s="2" t="s">
        <v>34</v>
      </c>
      <c r="B1" s="2" t="s">
        <v>22</v>
      </c>
      <c r="C1" s="3" t="s">
        <v>23</v>
      </c>
      <c r="D1" s="3" t="s">
        <v>24</v>
      </c>
      <c r="E1" s="3" t="s">
        <v>25</v>
      </c>
      <c r="F1" s="4" t="s">
        <v>26</v>
      </c>
    </row>
    <row r="2" spans="1:6" x14ac:dyDescent="0.25">
      <c r="A2" s="5" t="s">
        <v>27</v>
      </c>
      <c r="B2" s="19">
        <v>125000</v>
      </c>
      <c r="C2" s="20">
        <v>125000</v>
      </c>
      <c r="D2" s="20">
        <v>125000</v>
      </c>
      <c r="E2" s="20">
        <v>125000</v>
      </c>
      <c r="F2" s="21">
        <v>125000</v>
      </c>
    </row>
    <row r="3" spans="1:6" x14ac:dyDescent="0.25">
      <c r="A3" s="5" t="s">
        <v>28</v>
      </c>
      <c r="B3" s="19">
        <f>500000/10</f>
        <v>50000</v>
      </c>
      <c r="C3" s="20">
        <f>(500000/10)*2</f>
        <v>100000</v>
      </c>
      <c r="D3" s="20">
        <f>(500000/10)*3</f>
        <v>150000</v>
      </c>
      <c r="E3" s="20">
        <f>(500000/10)*4</f>
        <v>200000</v>
      </c>
      <c r="F3" s="20">
        <f>(500000/10)*5</f>
        <v>250000</v>
      </c>
    </row>
    <row r="4" spans="1:6" ht="15.75" thickBot="1" x14ac:dyDescent="0.3">
      <c r="A4" s="5" t="s">
        <v>29</v>
      </c>
      <c r="B4" s="22">
        <f>B2-B3</f>
        <v>75000</v>
      </c>
      <c r="C4" s="23">
        <f>C2-C3</f>
        <v>25000</v>
      </c>
      <c r="D4" s="23">
        <f>D2-D3</f>
        <v>-25000</v>
      </c>
      <c r="E4" s="23">
        <f t="shared" ref="E4:F4" si="0">E2-E3</f>
        <v>-75000</v>
      </c>
      <c r="F4" s="24">
        <f t="shared" si="0"/>
        <v>-125000</v>
      </c>
    </row>
    <row r="5" spans="1:6" x14ac:dyDescent="0.25">
      <c r="A5" s="5" t="s">
        <v>30</v>
      </c>
      <c r="B5" s="19">
        <f>0.3*B4</f>
        <v>22500</v>
      </c>
      <c r="C5" s="20">
        <f>0.3*C4</f>
        <v>7500</v>
      </c>
      <c r="D5" s="20">
        <f t="shared" ref="D5:F5" si="1">0.3*D4</f>
        <v>-7500</v>
      </c>
      <c r="E5" s="20">
        <f t="shared" si="1"/>
        <v>-22500</v>
      </c>
      <c r="F5" s="20">
        <f t="shared" si="1"/>
        <v>-37500</v>
      </c>
    </row>
    <row r="6" spans="1:6" ht="15.75" thickBot="1" x14ac:dyDescent="0.3">
      <c r="A6" s="5" t="s">
        <v>31</v>
      </c>
      <c r="B6" s="25">
        <f>B4-B5</f>
        <v>52500</v>
      </c>
      <c r="C6" s="26">
        <f>C4-C5</f>
        <v>17500</v>
      </c>
      <c r="D6" s="26">
        <f>D4-D5</f>
        <v>-17500</v>
      </c>
      <c r="E6" s="26">
        <f>E4-E5</f>
        <v>-52500</v>
      </c>
      <c r="F6" s="27">
        <f>F4-F5</f>
        <v>-87500</v>
      </c>
    </row>
    <row r="7" spans="1:6" x14ac:dyDescent="0.25">
      <c r="A7" s="5" t="s">
        <v>32</v>
      </c>
      <c r="B7" s="19">
        <f>B6+B3</f>
        <v>102500</v>
      </c>
      <c r="C7" s="20">
        <f t="shared" ref="C7:F7" si="2">C6+C3</f>
        <v>117500</v>
      </c>
      <c r="D7" s="20">
        <f t="shared" si="2"/>
        <v>132500</v>
      </c>
      <c r="E7" s="20">
        <f t="shared" si="2"/>
        <v>147500</v>
      </c>
      <c r="F7" s="21">
        <f t="shared" si="2"/>
        <v>162500</v>
      </c>
    </row>
    <row r="8" spans="1:6" ht="15.75" thickBot="1" x14ac:dyDescent="0.3">
      <c r="A8" s="9" t="s">
        <v>33</v>
      </c>
      <c r="B8" s="28">
        <f>B6+B7</f>
        <v>155000</v>
      </c>
      <c r="C8" s="29">
        <f t="shared" ref="C8:F8" si="3">C6+C7</f>
        <v>135000</v>
      </c>
      <c r="D8" s="29">
        <f t="shared" si="3"/>
        <v>115000</v>
      </c>
      <c r="E8" s="29">
        <f t="shared" si="3"/>
        <v>95000</v>
      </c>
      <c r="F8" s="30">
        <f t="shared" si="3"/>
        <v>75000</v>
      </c>
    </row>
    <row r="9" spans="1:6" ht="15.75" thickTop="1" x14ac:dyDescent="0.25">
      <c r="B9" s="18"/>
      <c r="C9" s="18"/>
      <c r="D9" s="18"/>
      <c r="E9" s="18"/>
      <c r="F9" s="18"/>
    </row>
    <row r="10" spans="1:6" x14ac:dyDescent="0.25">
      <c r="A10" s="2" t="s">
        <v>35</v>
      </c>
      <c r="B10" s="31" t="s">
        <v>22</v>
      </c>
      <c r="C10" s="32" t="s">
        <v>23</v>
      </c>
      <c r="D10" s="32" t="s">
        <v>24</v>
      </c>
      <c r="E10" s="32" t="s">
        <v>25</v>
      </c>
      <c r="F10" s="33" t="s">
        <v>26</v>
      </c>
    </row>
    <row r="11" spans="1:6" x14ac:dyDescent="0.25">
      <c r="A11" s="5" t="s">
        <v>27</v>
      </c>
      <c r="B11" s="19">
        <v>255000</v>
      </c>
      <c r="C11" s="20">
        <v>275000</v>
      </c>
      <c r="D11" s="20">
        <v>285000</v>
      </c>
      <c r="E11" s="20">
        <v>340000</v>
      </c>
      <c r="F11" s="21">
        <v>280000</v>
      </c>
    </row>
    <row r="12" spans="1:6" x14ac:dyDescent="0.25">
      <c r="A12" s="5" t="s">
        <v>28</v>
      </c>
      <c r="B12" s="19">
        <f>('Initial investment'!C2)/5</f>
        <v>177000</v>
      </c>
      <c r="C12" s="20">
        <f>('Initial investment'!C2)/5*2</f>
        <v>354000</v>
      </c>
      <c r="D12" s="20">
        <f>('Initial investment'!C2)/5*3</f>
        <v>531000</v>
      </c>
      <c r="E12" s="20">
        <f>('Initial investment'!C2)/5*4</f>
        <v>708000</v>
      </c>
      <c r="F12" s="21">
        <f>('Initial investment'!C2)/5*5</f>
        <v>885000</v>
      </c>
    </row>
    <row r="13" spans="1:6" ht="15.75" thickBot="1" x14ac:dyDescent="0.3">
      <c r="A13" s="5" t="s">
        <v>29</v>
      </c>
      <c r="B13" s="25">
        <f>B11-B12</f>
        <v>78000</v>
      </c>
      <c r="C13" s="26">
        <f t="shared" ref="C13:F13" si="4">C11-C12</f>
        <v>-79000</v>
      </c>
      <c r="D13" s="26">
        <f>D11-D12</f>
        <v>-246000</v>
      </c>
      <c r="E13" s="26">
        <f t="shared" si="4"/>
        <v>-368000</v>
      </c>
      <c r="F13" s="27">
        <f t="shared" si="4"/>
        <v>-605000</v>
      </c>
    </row>
    <row r="14" spans="1:6" x14ac:dyDescent="0.25">
      <c r="A14" s="5" t="s">
        <v>30</v>
      </c>
      <c r="B14" s="19">
        <f>0.3*B13</f>
        <v>23400</v>
      </c>
      <c r="C14" s="20">
        <f t="shared" ref="C14:F14" si="5">0.3*C13</f>
        <v>-23700</v>
      </c>
      <c r="D14" s="20">
        <f t="shared" si="5"/>
        <v>-73800</v>
      </c>
      <c r="E14" s="20">
        <f t="shared" si="5"/>
        <v>-110400</v>
      </c>
      <c r="F14" s="21">
        <f t="shared" si="5"/>
        <v>-181500</v>
      </c>
    </row>
    <row r="15" spans="1:6" ht="15.75" thickBot="1" x14ac:dyDescent="0.3">
      <c r="A15" s="5" t="s">
        <v>31</v>
      </c>
      <c r="B15" s="25">
        <f>B13-B14</f>
        <v>54600</v>
      </c>
      <c r="C15" s="26">
        <f t="shared" ref="C15:F15" si="6">C13-C14</f>
        <v>-55300</v>
      </c>
      <c r="D15" s="26">
        <f t="shared" si="6"/>
        <v>-172200</v>
      </c>
      <c r="E15" s="26">
        <f t="shared" si="6"/>
        <v>-257600</v>
      </c>
      <c r="F15" s="27">
        <f t="shared" si="6"/>
        <v>-423500</v>
      </c>
    </row>
    <row r="16" spans="1:6" x14ac:dyDescent="0.25">
      <c r="A16" s="5" t="s">
        <v>32</v>
      </c>
      <c r="B16" s="19">
        <f>B12</f>
        <v>177000</v>
      </c>
      <c r="C16" s="20">
        <f t="shared" ref="C16:F16" si="7">C12</f>
        <v>354000</v>
      </c>
      <c r="D16" s="20">
        <f t="shared" si="7"/>
        <v>531000</v>
      </c>
      <c r="E16" s="20">
        <f t="shared" si="7"/>
        <v>708000</v>
      </c>
      <c r="F16" s="21">
        <f t="shared" si="7"/>
        <v>885000</v>
      </c>
    </row>
    <row r="17" spans="1:6" x14ac:dyDescent="0.25">
      <c r="A17" s="9" t="s">
        <v>33</v>
      </c>
      <c r="B17" s="34">
        <f>B15+B16</f>
        <v>231600</v>
      </c>
      <c r="C17" s="35">
        <f t="shared" ref="C17:F17" si="8">C15+C16</f>
        <v>298700</v>
      </c>
      <c r="D17" s="35">
        <f t="shared" si="8"/>
        <v>358800</v>
      </c>
      <c r="E17" s="35">
        <f t="shared" si="8"/>
        <v>450400</v>
      </c>
      <c r="F17" s="36">
        <f t="shared" si="8"/>
        <v>461500</v>
      </c>
    </row>
    <row r="18" spans="1:6" x14ac:dyDescent="0.25">
      <c r="B18" s="18"/>
      <c r="C18" s="18"/>
      <c r="D18" s="18"/>
      <c r="E18" s="18"/>
      <c r="F18" s="18"/>
    </row>
    <row r="19" spans="1:6" x14ac:dyDescent="0.25">
      <c r="A19" s="2" t="s">
        <v>36</v>
      </c>
      <c r="B19" s="31" t="s">
        <v>22</v>
      </c>
      <c r="C19" s="32" t="s">
        <v>23</v>
      </c>
      <c r="D19" s="32" t="s">
        <v>24</v>
      </c>
      <c r="E19" s="32" t="s">
        <v>25</v>
      </c>
      <c r="F19" s="33" t="s">
        <v>26</v>
      </c>
    </row>
    <row r="20" spans="1:6" x14ac:dyDescent="0.25">
      <c r="A20" s="5" t="s">
        <v>27</v>
      </c>
      <c r="B20" s="19">
        <v>215000</v>
      </c>
      <c r="C20" s="20">
        <v>215000</v>
      </c>
      <c r="D20" s="20">
        <v>215000</v>
      </c>
      <c r="E20" s="20">
        <v>215000</v>
      </c>
      <c r="F20" s="21">
        <v>215000</v>
      </c>
    </row>
    <row r="21" spans="1:6" x14ac:dyDescent="0.25">
      <c r="A21" s="5" t="s">
        <v>28</v>
      </c>
      <c r="B21" s="19">
        <f>(('Initial investment'!E2)/5)</f>
        <v>133000</v>
      </c>
      <c r="C21" s="20">
        <f>(('Initial investment'!C2)/5)*2</f>
        <v>354000</v>
      </c>
      <c r="D21" s="20">
        <f>(('Initial investment'!C2)/5)*3</f>
        <v>531000</v>
      </c>
      <c r="E21" s="20">
        <f>(('Initial investment'!C2)/5)*4</f>
        <v>708000</v>
      </c>
      <c r="F21" s="21">
        <f>(('Initial investment'!C2)/5)*5</f>
        <v>885000</v>
      </c>
    </row>
    <row r="22" spans="1:6" ht="15.75" thickBot="1" x14ac:dyDescent="0.3">
      <c r="A22" s="5" t="s">
        <v>29</v>
      </c>
      <c r="B22" s="25">
        <f>B20-B21</f>
        <v>82000</v>
      </c>
      <c r="C22" s="26">
        <f t="shared" ref="C22:F22" si="9">C20-C21</f>
        <v>-139000</v>
      </c>
      <c r="D22" s="26">
        <f t="shared" si="9"/>
        <v>-316000</v>
      </c>
      <c r="E22" s="26">
        <f t="shared" si="9"/>
        <v>-493000</v>
      </c>
      <c r="F22" s="27">
        <f t="shared" si="9"/>
        <v>-670000</v>
      </c>
    </row>
    <row r="23" spans="1:6" x14ac:dyDescent="0.25">
      <c r="A23" s="5" t="s">
        <v>30</v>
      </c>
      <c r="B23" s="19">
        <f>0.3*B22</f>
        <v>24600</v>
      </c>
      <c r="C23" s="20">
        <f t="shared" ref="C23:F23" si="10">0.3*C22</f>
        <v>-41700</v>
      </c>
      <c r="D23" s="20">
        <f t="shared" si="10"/>
        <v>-94800</v>
      </c>
      <c r="E23" s="20">
        <f t="shared" si="10"/>
        <v>-147900</v>
      </c>
      <c r="F23" s="21">
        <f t="shared" si="10"/>
        <v>-201000</v>
      </c>
    </row>
    <row r="24" spans="1:6" ht="15.75" thickBot="1" x14ac:dyDescent="0.3">
      <c r="A24" s="5" t="s">
        <v>31</v>
      </c>
      <c r="B24" s="25">
        <f>B22-B23</f>
        <v>57400</v>
      </c>
      <c r="C24" s="26">
        <f t="shared" ref="C24:F24" si="11">C22-C23</f>
        <v>-97300</v>
      </c>
      <c r="D24" s="26">
        <f t="shared" si="11"/>
        <v>-221200</v>
      </c>
      <c r="E24" s="26">
        <f t="shared" si="11"/>
        <v>-345100</v>
      </c>
      <c r="F24" s="27">
        <f t="shared" si="11"/>
        <v>-469000</v>
      </c>
    </row>
    <row r="25" spans="1:6" x14ac:dyDescent="0.25">
      <c r="A25" s="5" t="s">
        <v>32</v>
      </c>
      <c r="B25" s="19">
        <f>B21</f>
        <v>133000</v>
      </c>
      <c r="C25" s="20">
        <f t="shared" ref="C25:F25" si="12">C21</f>
        <v>354000</v>
      </c>
      <c r="D25" s="20">
        <f t="shared" si="12"/>
        <v>531000</v>
      </c>
      <c r="E25" s="20">
        <f t="shared" si="12"/>
        <v>708000</v>
      </c>
      <c r="F25" s="21">
        <f t="shared" si="12"/>
        <v>885000</v>
      </c>
    </row>
    <row r="26" spans="1:6" x14ac:dyDescent="0.25">
      <c r="A26" s="9" t="s">
        <v>33</v>
      </c>
      <c r="B26" s="52">
        <f>B24+B25</f>
        <v>190400</v>
      </c>
      <c r="C26" s="53">
        <f t="shared" ref="C26:F26" si="13">C24+C25</f>
        <v>256700</v>
      </c>
      <c r="D26" s="53">
        <f t="shared" si="13"/>
        <v>309800</v>
      </c>
      <c r="E26" s="53">
        <f t="shared" si="13"/>
        <v>362900</v>
      </c>
      <c r="F26" s="54">
        <f t="shared" si="13"/>
        <v>416000</v>
      </c>
    </row>
    <row r="29" spans="1:6" x14ac:dyDescent="0.25">
      <c r="A29" s="63" t="s">
        <v>37</v>
      </c>
      <c r="B29" s="64"/>
      <c r="C29" s="64"/>
      <c r="D29" s="64"/>
      <c r="E29" s="64"/>
      <c r="F29" s="65"/>
    </row>
    <row r="30" spans="1:6" x14ac:dyDescent="0.25">
      <c r="A30" s="2" t="s">
        <v>38</v>
      </c>
      <c r="B30" s="41">
        <f>B8</f>
        <v>155000</v>
      </c>
      <c r="C30" s="41">
        <f>C8</f>
        <v>135000</v>
      </c>
      <c r="D30" s="41">
        <f>D8</f>
        <v>115000</v>
      </c>
      <c r="E30" s="41">
        <f>E8</f>
        <v>95000</v>
      </c>
      <c r="F30" s="42">
        <f>F8</f>
        <v>75000</v>
      </c>
    </row>
    <row r="31" spans="1:6" x14ac:dyDescent="0.25">
      <c r="A31" s="5"/>
      <c r="B31" s="6"/>
      <c r="C31" s="6"/>
      <c r="D31" s="6"/>
      <c r="E31" s="6"/>
      <c r="F31" s="8"/>
    </row>
    <row r="32" spans="1:6" x14ac:dyDescent="0.25">
      <c r="A32" s="5" t="s">
        <v>39</v>
      </c>
      <c r="B32" s="37">
        <f>B17</f>
        <v>231600</v>
      </c>
      <c r="C32" s="37">
        <f t="shared" ref="C32:F32" si="14">C17</f>
        <v>298700</v>
      </c>
      <c r="D32" s="37">
        <f t="shared" si="14"/>
        <v>358800</v>
      </c>
      <c r="E32" s="37">
        <f t="shared" si="14"/>
        <v>450400</v>
      </c>
      <c r="F32" s="38">
        <f t="shared" si="14"/>
        <v>461500</v>
      </c>
    </row>
    <row r="33" spans="1:6" x14ac:dyDescent="0.25">
      <c r="A33" s="5"/>
      <c r="B33" s="6"/>
      <c r="C33" s="6"/>
      <c r="D33" s="6"/>
      <c r="E33" s="6"/>
      <c r="F33" s="8"/>
    </row>
    <row r="34" spans="1:6" s="46" customFormat="1" ht="12.75" x14ac:dyDescent="0.2">
      <c r="A34" s="43" t="s">
        <v>40</v>
      </c>
      <c r="B34" s="44">
        <f>B26</f>
        <v>190400</v>
      </c>
      <c r="C34" s="44">
        <f t="shared" ref="C34:F34" si="15">C26</f>
        <v>256700</v>
      </c>
      <c r="D34" s="44">
        <f t="shared" si="15"/>
        <v>309800</v>
      </c>
      <c r="E34" s="44">
        <f t="shared" si="15"/>
        <v>362900</v>
      </c>
      <c r="F34" s="45">
        <f t="shared" si="15"/>
        <v>416000</v>
      </c>
    </row>
  </sheetData>
  <mergeCells count="1">
    <mergeCell ref="A29:F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C336-9EDB-40A4-B4D5-98E62E88535B}">
  <dimension ref="A1:F14"/>
  <sheetViews>
    <sheetView topLeftCell="A7" workbookViewId="0">
      <selection activeCell="F19" sqref="F19"/>
    </sheetView>
  </sheetViews>
  <sheetFormatPr defaultRowHeight="15" x14ac:dyDescent="0.25"/>
  <cols>
    <col min="1" max="1" width="26.28515625" bestFit="1" customWidth="1"/>
    <col min="2" max="2" width="11.5703125" bestFit="1" customWidth="1"/>
    <col min="3" max="3" width="12.28515625" customWidth="1"/>
    <col min="4" max="4" width="11.42578125" style="18" customWidth="1"/>
    <col min="5" max="5" width="12" customWidth="1"/>
    <col min="6" max="6" width="14.5703125" customWidth="1"/>
  </cols>
  <sheetData>
    <row r="1" spans="1:6" x14ac:dyDescent="0.25">
      <c r="A1" s="66" t="s">
        <v>41</v>
      </c>
      <c r="B1" s="66"/>
      <c r="C1" s="66"/>
      <c r="D1" s="66"/>
      <c r="E1" s="66"/>
      <c r="F1" s="66"/>
    </row>
    <row r="2" spans="1:6" x14ac:dyDescent="0.25">
      <c r="A2" s="63" t="s">
        <v>37</v>
      </c>
      <c r="B2" s="64"/>
      <c r="C2" s="64"/>
      <c r="D2" s="64"/>
      <c r="E2" s="64"/>
      <c r="F2" s="65"/>
    </row>
    <row r="3" spans="1:6" x14ac:dyDescent="0.25">
      <c r="A3" s="47"/>
      <c r="B3" s="48" t="s">
        <v>22</v>
      </c>
      <c r="C3" s="48" t="s">
        <v>23</v>
      </c>
      <c r="D3" s="48" t="s">
        <v>24</v>
      </c>
      <c r="E3" s="48" t="s">
        <v>25</v>
      </c>
      <c r="F3" s="49" t="s">
        <v>43</v>
      </c>
    </row>
    <row r="4" spans="1:6" x14ac:dyDescent="0.25">
      <c r="A4" s="2" t="s">
        <v>42</v>
      </c>
      <c r="B4" s="41">
        <f>'operating cash flows'!B17</f>
        <v>231600</v>
      </c>
      <c r="C4" s="41">
        <f>'operating cash flows'!C17</f>
        <v>298700</v>
      </c>
      <c r="D4" s="41">
        <f>'operating cash flows'!D17</f>
        <v>358800</v>
      </c>
      <c r="E4" s="41">
        <f>'operating cash flows'!E17</f>
        <v>450400</v>
      </c>
      <c r="F4" s="42">
        <f>'operating cash flows'!F17</f>
        <v>461500</v>
      </c>
    </row>
    <row r="5" spans="1:6" x14ac:dyDescent="0.25">
      <c r="A5" s="5" t="s">
        <v>49</v>
      </c>
      <c r="B5" s="37">
        <f>'operating cash flows'!B8</f>
        <v>155000</v>
      </c>
      <c r="C5" s="37">
        <f>'operating cash flows'!C8</f>
        <v>135000</v>
      </c>
      <c r="D5" s="37">
        <f>'operating cash flows'!D8</f>
        <v>115000</v>
      </c>
      <c r="E5" s="37">
        <f>'operating cash flows'!E8</f>
        <v>95000</v>
      </c>
      <c r="F5" s="38">
        <f>'operating cash flows'!F8</f>
        <v>75000</v>
      </c>
    </row>
    <row r="6" spans="1:6" ht="15.75" thickBot="1" x14ac:dyDescent="0.3">
      <c r="A6" s="43" t="s">
        <v>44</v>
      </c>
      <c r="B6" s="50">
        <f>B4-B5</f>
        <v>76600</v>
      </c>
      <c r="C6" s="50">
        <f t="shared" ref="C6:F6" si="0">C4-C5</f>
        <v>163700</v>
      </c>
      <c r="D6" s="50">
        <f t="shared" si="0"/>
        <v>243800</v>
      </c>
      <c r="E6" s="50">
        <f t="shared" si="0"/>
        <v>355400</v>
      </c>
      <c r="F6" s="51">
        <f t="shared" si="0"/>
        <v>386500</v>
      </c>
    </row>
    <row r="7" spans="1:6" ht="15.75" thickTop="1" x14ac:dyDescent="0.25"/>
    <row r="8" spans="1:6" x14ac:dyDescent="0.25">
      <c r="A8" s="66" t="s">
        <v>45</v>
      </c>
      <c r="B8" s="66"/>
      <c r="C8" s="66"/>
      <c r="D8" s="66"/>
      <c r="E8" s="66"/>
      <c r="F8" s="66"/>
    </row>
    <row r="9" spans="1:6" x14ac:dyDescent="0.25">
      <c r="A9" s="63" t="s">
        <v>37</v>
      </c>
      <c r="B9" s="64"/>
      <c r="C9" s="64"/>
      <c r="D9" s="64"/>
      <c r="E9" s="64"/>
      <c r="F9" s="65"/>
    </row>
    <row r="10" spans="1:6" x14ac:dyDescent="0.25">
      <c r="A10" s="47"/>
      <c r="B10" s="48" t="s">
        <v>22</v>
      </c>
      <c r="C10" s="48" t="s">
        <v>23</v>
      </c>
      <c r="D10" s="48" t="s">
        <v>24</v>
      </c>
      <c r="E10" s="48" t="s">
        <v>25</v>
      </c>
      <c r="F10" s="49" t="s">
        <v>43</v>
      </c>
    </row>
    <row r="11" spans="1:6" x14ac:dyDescent="0.25">
      <c r="A11" s="2" t="s">
        <v>46</v>
      </c>
      <c r="B11" s="41">
        <f>'operating cash flows'!B26</f>
        <v>190400</v>
      </c>
      <c r="C11" s="41">
        <f>'operating cash flows'!C26</f>
        <v>256700</v>
      </c>
      <c r="D11" s="41">
        <f>'operating cash flows'!D26</f>
        <v>309800</v>
      </c>
      <c r="E11" s="41">
        <f>'operating cash flows'!E26</f>
        <v>362900</v>
      </c>
      <c r="F11" s="42">
        <f>'operating cash flows'!F26</f>
        <v>416000</v>
      </c>
    </row>
    <row r="12" spans="1:6" x14ac:dyDescent="0.25">
      <c r="A12" s="5" t="s">
        <v>47</v>
      </c>
      <c r="B12" s="37">
        <f>'operating cash flows'!B8</f>
        <v>155000</v>
      </c>
      <c r="C12" s="37">
        <f>'operating cash flows'!C8</f>
        <v>135000</v>
      </c>
      <c r="D12" s="37">
        <f>'operating cash flows'!D8</f>
        <v>115000</v>
      </c>
      <c r="E12" s="37">
        <f>'operating cash flows'!E8</f>
        <v>95000</v>
      </c>
      <c r="F12" s="38">
        <f>'operating cash flows'!F8</f>
        <v>75000</v>
      </c>
    </row>
    <row r="13" spans="1:6" ht="15.75" thickBot="1" x14ac:dyDescent="0.3">
      <c r="A13" s="43" t="s">
        <v>48</v>
      </c>
      <c r="B13" s="50">
        <f>B11-B12</f>
        <v>35400</v>
      </c>
      <c r="C13" s="50">
        <f t="shared" ref="C13:F13" si="1">C11-C12</f>
        <v>121700</v>
      </c>
      <c r="D13" s="50">
        <f t="shared" si="1"/>
        <v>194800</v>
      </c>
      <c r="E13" s="50">
        <f t="shared" si="1"/>
        <v>267900</v>
      </c>
      <c r="F13" s="51">
        <f t="shared" si="1"/>
        <v>341000</v>
      </c>
    </row>
    <row r="14" spans="1:6" ht="15.75" thickTop="1" x14ac:dyDescent="0.25"/>
  </sheetData>
  <mergeCells count="4">
    <mergeCell ref="A2:F2"/>
    <mergeCell ref="A9:F9"/>
    <mergeCell ref="A1:F1"/>
    <mergeCell ref="A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48046-6C69-4841-A30E-A65DD2CE023E}">
  <dimension ref="A1:C26"/>
  <sheetViews>
    <sheetView topLeftCell="A10" workbookViewId="0">
      <selection activeCell="A15" sqref="A15:C26"/>
    </sheetView>
  </sheetViews>
  <sheetFormatPr defaultRowHeight="15" x14ac:dyDescent="0.25"/>
  <cols>
    <col min="1" max="1" width="41.140625" bestFit="1" customWidth="1"/>
    <col min="3" max="3" width="11.28515625" customWidth="1"/>
  </cols>
  <sheetData>
    <row r="1" spans="1:3" x14ac:dyDescent="0.25">
      <c r="A1" s="2" t="s">
        <v>57</v>
      </c>
      <c r="B1" s="3"/>
      <c r="C1" s="4"/>
    </row>
    <row r="2" spans="1:3" x14ac:dyDescent="0.25">
      <c r="A2" s="5" t="s">
        <v>50</v>
      </c>
      <c r="B2" s="6"/>
      <c r="C2" s="8">
        <f>B3-B4</f>
        <v>287000</v>
      </c>
    </row>
    <row r="3" spans="1:3" x14ac:dyDescent="0.25">
      <c r="A3" s="5" t="s">
        <v>51</v>
      </c>
      <c r="B3" s="6">
        <v>410000</v>
      </c>
      <c r="C3" s="8"/>
    </row>
    <row r="4" spans="1:3" x14ac:dyDescent="0.25">
      <c r="A4" s="5" t="s">
        <v>58</v>
      </c>
      <c r="B4" s="6">
        <f>0.3*B3</f>
        <v>123000</v>
      </c>
      <c r="C4" s="8"/>
    </row>
    <row r="5" spans="1:3" x14ac:dyDescent="0.25">
      <c r="A5" s="5"/>
      <c r="B5" s="6"/>
      <c r="C5" s="8"/>
    </row>
    <row r="6" spans="1:3" x14ac:dyDescent="0.25">
      <c r="A6" s="5" t="s">
        <v>52</v>
      </c>
      <c r="B6" s="6"/>
      <c r="C6" s="8">
        <f>B7-B8</f>
        <v>112000</v>
      </c>
    </row>
    <row r="7" spans="1:3" x14ac:dyDescent="0.25">
      <c r="A7" s="5" t="s">
        <v>53</v>
      </c>
      <c r="B7" s="6">
        <v>160000</v>
      </c>
      <c r="C7" s="8"/>
    </row>
    <row r="8" spans="1:3" x14ac:dyDescent="0.25">
      <c r="A8" s="5" t="s">
        <v>54</v>
      </c>
      <c r="B8" s="6">
        <f>0.3*B7</f>
        <v>48000</v>
      </c>
      <c r="C8" s="8"/>
    </row>
    <row r="9" spans="1:3" x14ac:dyDescent="0.25">
      <c r="A9" s="5"/>
      <c r="B9" s="6"/>
      <c r="C9" s="8"/>
    </row>
    <row r="10" spans="1:3" x14ac:dyDescent="0.25">
      <c r="A10" s="5" t="s">
        <v>55</v>
      </c>
      <c r="B10" s="6"/>
      <c r="C10" s="8">
        <f>30000+125000-25000-40000</f>
        <v>90000</v>
      </c>
    </row>
    <row r="11" spans="1:3" x14ac:dyDescent="0.25">
      <c r="A11" s="5"/>
      <c r="B11" s="6"/>
      <c r="C11" s="8"/>
    </row>
    <row r="12" spans="1:3" ht="15.75" thickBot="1" x14ac:dyDescent="0.3">
      <c r="A12" s="9" t="s">
        <v>56</v>
      </c>
      <c r="B12" s="10"/>
      <c r="C12" s="55">
        <f>C2-C6+C10</f>
        <v>265000</v>
      </c>
    </row>
    <row r="15" spans="1:3" x14ac:dyDescent="0.25">
      <c r="A15" s="2" t="s">
        <v>40</v>
      </c>
      <c r="B15" s="3"/>
      <c r="C15" s="4"/>
    </row>
    <row r="16" spans="1:3" x14ac:dyDescent="0.25">
      <c r="A16" s="5" t="s">
        <v>50</v>
      </c>
      <c r="B16" s="6"/>
      <c r="C16" s="8">
        <f>B17-B18</f>
        <v>238000</v>
      </c>
    </row>
    <row r="17" spans="1:3" x14ac:dyDescent="0.25">
      <c r="A17" s="5" t="s">
        <v>51</v>
      </c>
      <c r="B17" s="6">
        <v>340000</v>
      </c>
      <c r="C17" s="8"/>
    </row>
    <row r="18" spans="1:3" x14ac:dyDescent="0.25">
      <c r="A18" s="5" t="s">
        <v>58</v>
      </c>
      <c r="B18" s="6">
        <f>0.3*B17</f>
        <v>102000</v>
      </c>
      <c r="C18" s="8"/>
    </row>
    <row r="19" spans="1:3" x14ac:dyDescent="0.25">
      <c r="A19" s="5"/>
      <c r="B19" s="6"/>
      <c r="C19" s="8"/>
    </row>
    <row r="20" spans="1:3" x14ac:dyDescent="0.25">
      <c r="A20" s="5" t="s">
        <v>52</v>
      </c>
      <c r="B20" s="6"/>
      <c r="C20" s="8">
        <f>B21-B22</f>
        <v>112000</v>
      </c>
    </row>
    <row r="21" spans="1:3" x14ac:dyDescent="0.25">
      <c r="A21" s="5" t="s">
        <v>53</v>
      </c>
      <c r="B21" s="6">
        <v>160000</v>
      </c>
      <c r="C21" s="8"/>
    </row>
    <row r="22" spans="1:3" x14ac:dyDescent="0.25">
      <c r="A22" s="5" t="s">
        <v>54</v>
      </c>
      <c r="B22" s="6">
        <f>0.3*B21</f>
        <v>48000</v>
      </c>
      <c r="C22" s="8"/>
    </row>
    <row r="23" spans="1:3" x14ac:dyDescent="0.25">
      <c r="A23" s="5"/>
      <c r="B23" s="6"/>
      <c r="C23" s="8"/>
    </row>
    <row r="24" spans="1:3" x14ac:dyDescent="0.25">
      <c r="A24" s="5" t="s">
        <v>55</v>
      </c>
      <c r="B24" s="6"/>
      <c r="C24" s="8">
        <v>0</v>
      </c>
    </row>
    <row r="25" spans="1:3" x14ac:dyDescent="0.25">
      <c r="A25" s="5"/>
      <c r="B25" s="6"/>
      <c r="C25" s="8"/>
    </row>
    <row r="26" spans="1:3" ht="15.75" thickBot="1" x14ac:dyDescent="0.3">
      <c r="A26" s="9" t="s">
        <v>56</v>
      </c>
      <c r="B26" s="10"/>
      <c r="C26" s="55">
        <f>C16-C20+C24</f>
        <v>126000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7D29-0994-46CC-A49A-D4191EB1DBEE}">
  <dimension ref="A1:H8"/>
  <sheetViews>
    <sheetView workbookViewId="0">
      <selection activeCell="D11" sqref="D11"/>
    </sheetView>
  </sheetViews>
  <sheetFormatPr defaultRowHeight="15" x14ac:dyDescent="0.25"/>
  <cols>
    <col min="1" max="1" width="17.140625" customWidth="1"/>
    <col min="2" max="2" width="10.5703125" bestFit="1" customWidth="1"/>
    <col min="3" max="6" width="11.5703125" bestFit="1" customWidth="1"/>
  </cols>
  <sheetData>
    <row r="1" spans="1:8" x14ac:dyDescent="0.25">
      <c r="A1" s="2" t="s">
        <v>63</v>
      </c>
      <c r="B1" s="3"/>
      <c r="C1" s="3"/>
      <c r="D1" s="3"/>
      <c r="E1" s="3"/>
      <c r="F1" s="3"/>
      <c r="G1" s="3"/>
      <c r="H1" s="4"/>
    </row>
    <row r="2" spans="1:8" x14ac:dyDescent="0.25">
      <c r="A2" s="5" t="s">
        <v>39</v>
      </c>
      <c r="B2" s="6" t="s">
        <v>44</v>
      </c>
      <c r="C2" s="6"/>
      <c r="D2" s="6"/>
      <c r="E2" s="6"/>
      <c r="F2" s="6"/>
      <c r="G2" s="6"/>
      <c r="H2" s="8"/>
    </row>
    <row r="3" spans="1:8" x14ac:dyDescent="0.25">
      <c r="A3" s="5" t="s">
        <v>59</v>
      </c>
      <c r="B3" s="6" t="s">
        <v>22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62</v>
      </c>
      <c r="H3" s="8"/>
    </row>
    <row r="4" spans="1:8" x14ac:dyDescent="0.25">
      <c r="A4" s="9">
        <v>534000</v>
      </c>
      <c r="B4" s="39">
        <f>'Incremental cash flow'!B6</f>
        <v>76600</v>
      </c>
      <c r="C4" s="39">
        <f>'Incremental cash flow'!C6</f>
        <v>163700</v>
      </c>
      <c r="D4" s="39">
        <f>'Incremental cash flow'!D6</f>
        <v>243800</v>
      </c>
      <c r="E4" s="39">
        <f>'Incremental cash flow'!E6</f>
        <v>355400</v>
      </c>
      <c r="F4" s="39">
        <f>'Incremental cash flow'!F6</f>
        <v>386500</v>
      </c>
      <c r="G4" s="10">
        <f>'terminal cash flows'!C12</f>
        <v>265000</v>
      </c>
      <c r="H4" s="17"/>
    </row>
    <row r="6" spans="1:8" x14ac:dyDescent="0.25">
      <c r="A6" s="2" t="s">
        <v>60</v>
      </c>
      <c r="B6" s="3" t="s">
        <v>44</v>
      </c>
      <c r="C6" s="3"/>
      <c r="D6" s="3"/>
      <c r="E6" s="3"/>
      <c r="F6" s="3"/>
      <c r="G6" s="3"/>
      <c r="H6" s="4"/>
    </row>
    <row r="7" spans="1:8" x14ac:dyDescent="0.25">
      <c r="A7" s="5" t="s">
        <v>61</v>
      </c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62</v>
      </c>
      <c r="H7" s="8"/>
    </row>
    <row r="8" spans="1:8" x14ac:dyDescent="0.25">
      <c r="A8" s="9">
        <v>224000</v>
      </c>
      <c r="B8" s="39">
        <f>'Incremental cash flow'!B13</f>
        <v>35400</v>
      </c>
      <c r="C8" s="39">
        <f>'Incremental cash flow'!C13</f>
        <v>121700</v>
      </c>
      <c r="D8" s="39">
        <f>'Incremental cash flow'!D13</f>
        <v>194800</v>
      </c>
      <c r="E8" s="39">
        <f>'Incremental cash flow'!E13</f>
        <v>267900</v>
      </c>
      <c r="F8" s="39">
        <f>'Incremental cash flow'!F13</f>
        <v>341000</v>
      </c>
      <c r="G8" s="10">
        <f>'terminal cash flows'!C26</f>
        <v>126000</v>
      </c>
      <c r="H8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BD39-5BB8-4C25-87D0-7F17F5767583}">
  <dimension ref="A1:F13"/>
  <sheetViews>
    <sheetView workbookViewId="0">
      <selection activeCell="I9" sqref="I9"/>
    </sheetView>
  </sheetViews>
  <sheetFormatPr defaultRowHeight="15" x14ac:dyDescent="0.25"/>
  <cols>
    <col min="2" max="2" width="14.28515625" bestFit="1" customWidth="1"/>
    <col min="3" max="3" width="11.5703125" bestFit="1" customWidth="1"/>
    <col min="4" max="4" width="11.7109375" customWidth="1"/>
    <col min="5" max="5" width="12.85546875" customWidth="1"/>
    <col min="6" max="6" width="11.85546875" customWidth="1"/>
  </cols>
  <sheetData>
    <row r="1" spans="1:6" x14ac:dyDescent="0.25">
      <c r="A1" t="s">
        <v>64</v>
      </c>
    </row>
    <row r="2" spans="1:6" x14ac:dyDescent="0.25">
      <c r="A2" t="s">
        <v>65</v>
      </c>
      <c r="B2" t="s">
        <v>66</v>
      </c>
      <c r="C2" s="67" t="s">
        <v>70</v>
      </c>
      <c r="D2" s="67"/>
      <c r="E2" t="s">
        <v>40</v>
      </c>
    </row>
    <row r="3" spans="1:6" x14ac:dyDescent="0.25">
      <c r="B3" t="s">
        <v>67</v>
      </c>
      <c r="C3" t="s">
        <v>68</v>
      </c>
      <c r="D3" t="s">
        <v>69</v>
      </c>
      <c r="E3" t="s">
        <v>68</v>
      </c>
      <c r="F3" t="s">
        <v>69</v>
      </c>
    </row>
    <row r="4" spans="1:6" x14ac:dyDescent="0.25">
      <c r="A4">
        <v>1</v>
      </c>
      <c r="B4" s="56">
        <v>0.89290000000000003</v>
      </c>
      <c r="C4" s="18">
        <v>76600</v>
      </c>
      <c r="D4" s="18">
        <f>B4*C4</f>
        <v>68396.14</v>
      </c>
      <c r="E4" s="18">
        <v>35400</v>
      </c>
      <c r="F4" s="18">
        <f>B4*E4</f>
        <v>31608.66</v>
      </c>
    </row>
    <row r="5" spans="1:6" x14ac:dyDescent="0.25">
      <c r="A5">
        <v>2</v>
      </c>
      <c r="B5" s="56">
        <v>0.79720000000000002</v>
      </c>
      <c r="C5" s="18">
        <v>163700</v>
      </c>
      <c r="D5" s="18">
        <f t="shared" ref="D5:D8" si="0">B5*C5</f>
        <v>130501.64</v>
      </c>
      <c r="E5" s="18">
        <v>80000</v>
      </c>
      <c r="F5" s="18">
        <f t="shared" ref="F5:F8" si="1">B5*E5</f>
        <v>63776</v>
      </c>
    </row>
    <row r="6" spans="1:6" x14ac:dyDescent="0.25">
      <c r="A6">
        <v>3</v>
      </c>
      <c r="B6" s="56">
        <v>0.71179999999999999</v>
      </c>
      <c r="C6" s="18">
        <v>431000</v>
      </c>
      <c r="D6" s="18">
        <f t="shared" si="0"/>
        <v>306785.8</v>
      </c>
      <c r="E6" s="18">
        <v>115000</v>
      </c>
      <c r="F6" s="18">
        <f t="shared" si="1"/>
        <v>81857</v>
      </c>
    </row>
    <row r="7" spans="1:6" x14ac:dyDescent="0.25">
      <c r="A7">
        <v>4</v>
      </c>
      <c r="B7" s="56">
        <v>0.63549999999999995</v>
      </c>
      <c r="C7" s="18">
        <v>290000</v>
      </c>
      <c r="D7" s="18">
        <f t="shared" si="0"/>
        <v>184295</v>
      </c>
      <c r="E7" s="18">
        <v>165000</v>
      </c>
      <c r="F7" s="18">
        <f t="shared" si="1"/>
        <v>104857.49999999999</v>
      </c>
    </row>
    <row r="8" spans="1:6" x14ac:dyDescent="0.25">
      <c r="A8">
        <v>5</v>
      </c>
      <c r="B8" s="56">
        <v>0.56740000000000002</v>
      </c>
      <c r="C8" s="18">
        <v>280000</v>
      </c>
      <c r="D8" s="18">
        <f t="shared" si="0"/>
        <v>158872</v>
      </c>
      <c r="E8" s="18">
        <v>215000</v>
      </c>
      <c r="F8" s="18">
        <f t="shared" si="1"/>
        <v>121991</v>
      </c>
    </row>
    <row r="9" spans="1:6" ht="15.75" thickBot="1" x14ac:dyDescent="0.3">
      <c r="D9" s="57">
        <f>SUM(D4:D8)</f>
        <v>848850.58</v>
      </c>
      <c r="F9" s="57">
        <f>SUM(F4:F8)</f>
        <v>404090.16</v>
      </c>
    </row>
    <row r="10" spans="1:6" ht="15.75" thickTop="1" x14ac:dyDescent="0.25">
      <c r="A10" t="s">
        <v>71</v>
      </c>
      <c r="D10" s="58">
        <f>'Initial investment'!C12</f>
        <v>534000</v>
      </c>
      <c r="F10" s="1">
        <f>'Initial investment'!E12</f>
        <v>224000</v>
      </c>
    </row>
    <row r="11" spans="1:6" x14ac:dyDescent="0.25">
      <c r="D11" s="58">
        <f>D9-D10</f>
        <v>314850.57999999996</v>
      </c>
      <c r="F11" s="1">
        <f>F9-F10</f>
        <v>180090.15999999997</v>
      </c>
    </row>
    <row r="13" spans="1:6" x14ac:dyDescent="0.25">
      <c r="A13" t="s">
        <v>72</v>
      </c>
    </row>
  </sheetData>
  <mergeCells count="1">
    <mergeCell ref="C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7A99-7ACC-465F-A2DA-78A8F547D6E6}">
  <dimension ref="A1:F27"/>
  <sheetViews>
    <sheetView tabSelected="1" topLeftCell="A10" workbookViewId="0">
      <selection activeCell="H27" sqref="H27"/>
    </sheetView>
  </sheetViews>
  <sheetFormatPr defaultRowHeight="15" x14ac:dyDescent="0.25"/>
  <cols>
    <col min="1" max="1" width="27.42578125" customWidth="1"/>
    <col min="2" max="2" width="14.28515625" bestFit="1" customWidth="1"/>
    <col min="3" max="6" width="11.5703125" bestFit="1" customWidth="1"/>
  </cols>
  <sheetData>
    <row r="1" spans="1:6" x14ac:dyDescent="0.25">
      <c r="A1" t="s">
        <v>74</v>
      </c>
    </row>
    <row r="2" spans="1:6" x14ac:dyDescent="0.25">
      <c r="A2" t="s">
        <v>73</v>
      </c>
    </row>
    <row r="3" spans="1:6" x14ac:dyDescent="0.25">
      <c r="A3" t="s">
        <v>65</v>
      </c>
      <c r="B3" t="s">
        <v>66</v>
      </c>
      <c r="C3" s="67" t="s">
        <v>70</v>
      </c>
      <c r="D3" s="67"/>
      <c r="E3" t="s">
        <v>40</v>
      </c>
    </row>
    <row r="4" spans="1:6" x14ac:dyDescent="0.25">
      <c r="B4" t="s">
        <v>67</v>
      </c>
      <c r="C4" t="s">
        <v>68</v>
      </c>
      <c r="D4" t="s">
        <v>69</v>
      </c>
      <c r="E4" t="s">
        <v>68</v>
      </c>
      <c r="F4" t="s">
        <v>69</v>
      </c>
    </row>
    <row r="5" spans="1:6" x14ac:dyDescent="0.25">
      <c r="A5">
        <v>1</v>
      </c>
      <c r="B5" s="56">
        <v>0.89290000000000003</v>
      </c>
      <c r="C5" s="18">
        <v>76600</v>
      </c>
      <c r="D5" s="18">
        <f>B5*C5</f>
        <v>68396.14</v>
      </c>
      <c r="E5" s="18">
        <v>35400</v>
      </c>
      <c r="F5" s="18">
        <f>B5*E5</f>
        <v>31608.66</v>
      </c>
    </row>
    <row r="6" spans="1:6" x14ac:dyDescent="0.25">
      <c r="A6">
        <v>2</v>
      </c>
      <c r="B6" s="56">
        <v>0.79720000000000002</v>
      </c>
      <c r="C6" s="18">
        <v>163700</v>
      </c>
      <c r="D6" s="18">
        <f t="shared" ref="D6:D9" si="0">B6*C6</f>
        <v>130501.64</v>
      </c>
      <c r="E6" s="18">
        <v>80000</v>
      </c>
      <c r="F6" s="18">
        <f t="shared" ref="F6:F9" si="1">B6*E6</f>
        <v>63776</v>
      </c>
    </row>
    <row r="7" spans="1:6" x14ac:dyDescent="0.25">
      <c r="A7">
        <v>3</v>
      </c>
      <c r="B7" s="56">
        <v>0.71179999999999999</v>
      </c>
      <c r="C7" s="18">
        <v>431000</v>
      </c>
      <c r="D7" s="18">
        <f t="shared" si="0"/>
        <v>306785.8</v>
      </c>
      <c r="E7" s="18">
        <v>115000</v>
      </c>
      <c r="F7" s="18">
        <f t="shared" si="1"/>
        <v>81857</v>
      </c>
    </row>
    <row r="8" spans="1:6" x14ac:dyDescent="0.25">
      <c r="A8">
        <v>4</v>
      </c>
      <c r="B8" s="56">
        <v>0.63549999999999995</v>
      </c>
      <c r="C8" s="18">
        <v>290000</v>
      </c>
      <c r="D8" s="18">
        <f t="shared" si="0"/>
        <v>184295</v>
      </c>
      <c r="E8" s="18">
        <v>165000</v>
      </c>
      <c r="F8" s="18">
        <f t="shared" si="1"/>
        <v>104857.49999999999</v>
      </c>
    </row>
    <row r="9" spans="1:6" x14ac:dyDescent="0.25">
      <c r="A9">
        <v>5</v>
      </c>
      <c r="B9" s="56">
        <v>0.56740000000000002</v>
      </c>
      <c r="C9" s="18">
        <v>280000</v>
      </c>
      <c r="D9" s="18">
        <f t="shared" si="0"/>
        <v>158872</v>
      </c>
      <c r="E9" s="18">
        <v>215000</v>
      </c>
      <c r="F9" s="18">
        <f t="shared" si="1"/>
        <v>121991</v>
      </c>
    </row>
    <row r="10" spans="1:6" ht="15.75" thickBot="1" x14ac:dyDescent="0.3">
      <c r="D10" s="57">
        <f>SUM(D5:D9)</f>
        <v>848850.58</v>
      </c>
      <c r="F10" s="57">
        <f>SUM(F5:F9)</f>
        <v>404090.16</v>
      </c>
    </row>
    <row r="11" spans="1:6" ht="15.75" thickTop="1" x14ac:dyDescent="0.25">
      <c r="A11" t="s">
        <v>71</v>
      </c>
      <c r="D11" s="58">
        <f>'Initial investment'!C12</f>
        <v>534000</v>
      </c>
      <c r="F11" s="1">
        <f>'Initial investment'!E12</f>
        <v>224000</v>
      </c>
    </row>
    <row r="12" spans="1:6" x14ac:dyDescent="0.25">
      <c r="D12" s="58">
        <f>D10-D11</f>
        <v>314850.57999999996</v>
      </c>
      <c r="F12" s="1">
        <f>F10-F11</f>
        <v>180090.15999999997</v>
      </c>
    </row>
    <row r="14" spans="1:6" x14ac:dyDescent="0.25">
      <c r="A14" s="2" t="s">
        <v>77</v>
      </c>
      <c r="B14" s="3"/>
      <c r="C14" s="3"/>
      <c r="D14" s="3"/>
      <c r="E14" s="3"/>
      <c r="F14" s="4"/>
    </row>
    <row r="15" spans="1:6" x14ac:dyDescent="0.25">
      <c r="A15" s="5" t="s">
        <v>65</v>
      </c>
      <c r="B15" s="6" t="s">
        <v>66</v>
      </c>
      <c r="C15" s="68" t="s">
        <v>70</v>
      </c>
      <c r="D15" s="68"/>
      <c r="E15" s="6" t="s">
        <v>40</v>
      </c>
      <c r="F15" s="8"/>
    </row>
    <row r="16" spans="1:6" x14ac:dyDescent="0.25">
      <c r="A16" s="5"/>
      <c r="B16" s="6" t="s">
        <v>76</v>
      </c>
      <c r="C16" s="6" t="s">
        <v>68</v>
      </c>
      <c r="D16" s="6" t="s">
        <v>69</v>
      </c>
      <c r="E16" s="6" t="s">
        <v>68</v>
      </c>
      <c r="F16" s="8" t="s">
        <v>69</v>
      </c>
    </row>
    <row r="17" spans="1:6" x14ac:dyDescent="0.25">
      <c r="A17" s="5">
        <v>1</v>
      </c>
      <c r="B17" s="59">
        <v>0.7782</v>
      </c>
      <c r="C17" s="20">
        <v>76600</v>
      </c>
      <c r="D17" s="20">
        <f>B17*C17</f>
        <v>59610.12</v>
      </c>
      <c r="E17" s="20">
        <v>35400</v>
      </c>
      <c r="F17" s="21">
        <f>B17*E17</f>
        <v>27548.28</v>
      </c>
    </row>
    <row r="18" spans="1:6" x14ac:dyDescent="0.25">
      <c r="A18" s="5">
        <v>2</v>
      </c>
      <c r="B18" s="59">
        <v>0.60560000000000003</v>
      </c>
      <c r="C18" s="20">
        <v>163700</v>
      </c>
      <c r="D18" s="20">
        <f t="shared" ref="D18:D21" si="2">B18*C18</f>
        <v>99136.72</v>
      </c>
      <c r="E18" s="20">
        <v>80000</v>
      </c>
      <c r="F18" s="21">
        <f t="shared" ref="F18:F21" si="3">B18*E18</f>
        <v>48448</v>
      </c>
    </row>
    <row r="19" spans="1:6" x14ac:dyDescent="0.25">
      <c r="A19" s="5">
        <v>3</v>
      </c>
      <c r="B19" s="59">
        <v>0.4713</v>
      </c>
      <c r="C19" s="20">
        <v>431000</v>
      </c>
      <c r="D19" s="20">
        <f t="shared" si="2"/>
        <v>203130.3</v>
      </c>
      <c r="E19" s="20">
        <v>115000</v>
      </c>
      <c r="F19" s="21">
        <f t="shared" si="3"/>
        <v>54199.5</v>
      </c>
    </row>
    <row r="20" spans="1:6" x14ac:dyDescent="0.25">
      <c r="A20" s="5">
        <v>4</v>
      </c>
      <c r="B20" s="59">
        <v>0.36680000000000001</v>
      </c>
      <c r="C20" s="20">
        <v>290000</v>
      </c>
      <c r="D20" s="20">
        <f t="shared" si="2"/>
        <v>106372</v>
      </c>
      <c r="E20" s="20">
        <v>165000</v>
      </c>
      <c r="F20" s="21">
        <f t="shared" si="3"/>
        <v>60522</v>
      </c>
    </row>
    <row r="21" spans="1:6" x14ac:dyDescent="0.25">
      <c r="A21" s="5">
        <v>5</v>
      </c>
      <c r="B21" s="59">
        <v>0.28539999999999999</v>
      </c>
      <c r="C21" s="20">
        <v>280000</v>
      </c>
      <c r="D21" s="20">
        <f t="shared" si="2"/>
        <v>79912</v>
      </c>
      <c r="E21" s="20">
        <v>215000</v>
      </c>
      <c r="F21" s="21">
        <f t="shared" si="3"/>
        <v>61361</v>
      </c>
    </row>
    <row r="22" spans="1:6" ht="15.75" thickBot="1" x14ac:dyDescent="0.3">
      <c r="A22" s="5"/>
      <c r="B22" s="6"/>
      <c r="C22" s="6"/>
      <c r="D22" s="57">
        <f>SUM(D17:D21)</f>
        <v>548161.14</v>
      </c>
      <c r="E22" s="6"/>
      <c r="F22" s="60">
        <f>SUM(F17:F21)</f>
        <v>252078.78</v>
      </c>
    </row>
    <row r="23" spans="1:6" ht="15.75" thickTop="1" x14ac:dyDescent="0.25">
      <c r="A23" s="5" t="s">
        <v>71</v>
      </c>
      <c r="B23" s="6"/>
      <c r="C23" s="6"/>
      <c r="D23" s="58">
        <f>'Initial investment'!C12</f>
        <v>534000</v>
      </c>
      <c r="E23" s="6"/>
      <c r="F23" s="7">
        <f>'Initial investment'!E12</f>
        <v>224000</v>
      </c>
    </row>
    <row r="24" spans="1:6" x14ac:dyDescent="0.25">
      <c r="A24" s="9"/>
      <c r="B24" s="10"/>
      <c r="C24" s="10"/>
      <c r="D24" s="61">
        <f>D22-D23</f>
        <v>14161.140000000014</v>
      </c>
      <c r="E24" s="10"/>
      <c r="F24" s="11">
        <f>F22-F23</f>
        <v>28078.78</v>
      </c>
    </row>
    <row r="27" spans="1:6" x14ac:dyDescent="0.25">
      <c r="A27" t="s">
        <v>75</v>
      </c>
    </row>
  </sheetData>
  <mergeCells count="2">
    <mergeCell ref="C3:D3"/>
    <mergeCell ref="C15:D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B9270-E4A6-4EC3-9D73-F659367488CF}">
  <dimension ref="A2:E15"/>
  <sheetViews>
    <sheetView workbookViewId="0">
      <selection activeCell="E18" sqref="E18"/>
    </sheetView>
  </sheetViews>
  <sheetFormatPr defaultRowHeight="15" x14ac:dyDescent="0.25"/>
  <cols>
    <col min="2" max="2" width="11.5703125" bestFit="1" customWidth="1"/>
    <col min="3" max="3" width="23" bestFit="1" customWidth="1"/>
    <col min="4" max="4" width="11.5703125" bestFit="1" customWidth="1"/>
    <col min="5" max="5" width="23" bestFit="1" customWidth="1"/>
  </cols>
  <sheetData>
    <row r="2" spans="1:5" x14ac:dyDescent="0.25">
      <c r="A2" s="2" t="s">
        <v>65</v>
      </c>
      <c r="B2" s="48" t="s">
        <v>70</v>
      </c>
      <c r="C2" s="48"/>
      <c r="D2" s="3" t="s">
        <v>40</v>
      </c>
      <c r="E2" s="4"/>
    </row>
    <row r="3" spans="1:5" x14ac:dyDescent="0.25">
      <c r="A3" s="5"/>
      <c r="B3" s="6" t="s">
        <v>68</v>
      </c>
      <c r="C3" s="6" t="s">
        <v>78</v>
      </c>
      <c r="D3" s="6" t="s">
        <v>68</v>
      </c>
      <c r="E3" s="8" t="s">
        <v>78</v>
      </c>
    </row>
    <row r="4" spans="1:5" x14ac:dyDescent="0.25">
      <c r="A4" s="5">
        <v>1</v>
      </c>
      <c r="B4" s="20">
        <v>76600</v>
      </c>
      <c r="C4" s="20">
        <f>B4</f>
        <v>76600</v>
      </c>
      <c r="D4" s="20">
        <v>35400</v>
      </c>
      <c r="E4" s="21">
        <f>D4</f>
        <v>35400</v>
      </c>
    </row>
    <row r="5" spans="1:5" x14ac:dyDescent="0.25">
      <c r="A5" s="5">
        <v>2</v>
      </c>
      <c r="B5" s="20">
        <v>163700</v>
      </c>
      <c r="C5" s="20">
        <f>C4+B5</f>
        <v>240300</v>
      </c>
      <c r="D5" s="20">
        <v>80000</v>
      </c>
      <c r="E5" s="21">
        <f>E4+D5</f>
        <v>115400</v>
      </c>
    </row>
    <row r="6" spans="1:5" x14ac:dyDescent="0.25">
      <c r="A6" s="5">
        <v>3</v>
      </c>
      <c r="B6" s="20">
        <v>431000</v>
      </c>
      <c r="C6" s="20">
        <f>C5+B6</f>
        <v>671300</v>
      </c>
      <c r="D6" s="20">
        <v>115000</v>
      </c>
      <c r="E6" s="21">
        <f>E5+D6</f>
        <v>230400</v>
      </c>
    </row>
    <row r="7" spans="1:5" x14ac:dyDescent="0.25">
      <c r="A7" s="5">
        <v>4</v>
      </c>
      <c r="B7" s="20">
        <v>290000</v>
      </c>
      <c r="C7" s="20">
        <f>C6+B7</f>
        <v>961300</v>
      </c>
      <c r="D7" s="20">
        <v>165000</v>
      </c>
      <c r="E7" s="21">
        <f>E6+D7</f>
        <v>395400</v>
      </c>
    </row>
    <row r="8" spans="1:5" x14ac:dyDescent="0.25">
      <c r="A8" s="5">
        <v>5</v>
      </c>
      <c r="B8" s="20">
        <v>280000</v>
      </c>
      <c r="C8" s="20">
        <f>C7+B8</f>
        <v>1241300</v>
      </c>
      <c r="D8" s="20">
        <v>215000</v>
      </c>
      <c r="E8" s="21">
        <f>E7+D8</f>
        <v>610400</v>
      </c>
    </row>
    <row r="9" spans="1:5" x14ac:dyDescent="0.25">
      <c r="A9" s="5"/>
      <c r="B9" s="6"/>
      <c r="C9" s="6"/>
      <c r="D9" s="6"/>
      <c r="E9" s="8"/>
    </row>
    <row r="10" spans="1:5" x14ac:dyDescent="0.25">
      <c r="A10" s="5" t="s">
        <v>79</v>
      </c>
      <c r="B10" s="6"/>
      <c r="C10" s="62">
        <f>'Initial investment'!C12</f>
        <v>534000</v>
      </c>
      <c r="D10" s="6"/>
      <c r="E10" s="7">
        <f>'Initial investment'!E12</f>
        <v>224000</v>
      </c>
    </row>
    <row r="11" spans="1:5" x14ac:dyDescent="0.25">
      <c r="A11" s="5"/>
      <c r="B11" s="6"/>
      <c r="C11" s="6"/>
      <c r="D11" s="6"/>
      <c r="E11" s="8"/>
    </row>
    <row r="12" spans="1:5" x14ac:dyDescent="0.25">
      <c r="A12" s="5"/>
      <c r="B12" s="6" t="s">
        <v>80</v>
      </c>
      <c r="C12" s="37">
        <f>2+((C10-C5)/C6)</f>
        <v>2.4375093102934606</v>
      </c>
      <c r="D12" s="6"/>
      <c r="E12" s="38">
        <f>2+((E10-E5)/E6)</f>
        <v>2.4713541666666665</v>
      </c>
    </row>
    <row r="13" spans="1:5" x14ac:dyDescent="0.25">
      <c r="A13" s="9"/>
      <c r="B13" s="10" t="s">
        <v>81</v>
      </c>
      <c r="C13" s="39"/>
      <c r="D13" s="10"/>
      <c r="E13" s="40" t="s">
        <v>82</v>
      </c>
    </row>
    <row r="15" spans="1:5" x14ac:dyDescent="0.25">
      <c r="B1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Initial investment</vt:lpstr>
      <vt:lpstr>operating cash flows</vt:lpstr>
      <vt:lpstr>Incremental cash flow</vt:lpstr>
      <vt:lpstr>terminal cash flows</vt:lpstr>
      <vt:lpstr>free cash flows </vt:lpstr>
      <vt:lpstr>NPV</vt:lpstr>
      <vt:lpstr>irr</vt:lpstr>
      <vt:lpstr>payback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2021-05-02T02:04:32Z</dcterms:created>
  <dcterms:modified xsi:type="dcterms:W3CDTF">2021-05-02T14:07:57Z</dcterms:modified>
</cp:coreProperties>
</file>